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brabec\Desktop\"/>
    </mc:Choice>
  </mc:AlternateContent>
  <xr:revisionPtr revIDLastSave="0" documentId="13_ncr:1_{037B0AE4-617A-456A-8410-BDDB611A2853}" xr6:coauthVersionLast="47" xr6:coauthVersionMax="47" xr10:uidLastSave="{00000000-0000-0000-0000-000000000000}"/>
  <bookViews>
    <workbookView xWindow="-120" yWindow="-120" windowWidth="29040" windowHeight="15840" xr2:uid="{E89A8CB1-2778-4D5B-B50E-CA9093A2694E}"/>
  </bookViews>
  <sheets>
    <sheet name="Elektř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  <c r="J2" i="1"/>
  <c r="C41" i="1"/>
  <c r="C40" i="1"/>
  <c r="C66" i="1"/>
  <c r="C65" i="1"/>
  <c r="C56" i="1"/>
  <c r="C55" i="1"/>
  <c r="C26" i="1"/>
  <c r="C25" i="1"/>
  <c r="C11" i="1"/>
  <c r="D11" i="1" s="1"/>
  <c r="G38" i="1" s="1"/>
  <c r="D10" i="1"/>
  <c r="C6" i="1"/>
  <c r="G40" i="1" l="1"/>
  <c r="G39" i="1"/>
  <c r="G23" i="1"/>
  <c r="G24" i="1" s="1"/>
  <c r="C14" i="1"/>
  <c r="C16" i="1" s="1"/>
  <c r="C39" i="1" s="1"/>
  <c r="G25" i="1" l="1"/>
  <c r="C15" i="1"/>
  <c r="C38" i="1" s="1"/>
  <c r="C42" i="1" s="1"/>
  <c r="G42" i="1"/>
  <c r="C54" i="1"/>
  <c r="C24" i="1"/>
  <c r="G27" i="1"/>
  <c r="C64" i="1"/>
  <c r="C53" i="1"/>
  <c r="C23" i="1"/>
  <c r="C27" i="1" s="1"/>
  <c r="C63" i="1"/>
  <c r="G26" i="1"/>
  <c r="G28" i="1" s="1"/>
  <c r="G30" i="1" s="1"/>
  <c r="C68" i="1" l="1"/>
  <c r="K5" i="1" s="1"/>
  <c r="G41" i="1"/>
  <c r="G43" i="1" s="1"/>
  <c r="G45" i="1" s="1"/>
  <c r="C58" i="1"/>
  <c r="K4" i="1" s="1"/>
  <c r="G29" i="1"/>
  <c r="G31" i="1" s="1"/>
  <c r="G33" i="1" s="1"/>
  <c r="C31" i="1" s="1"/>
  <c r="C32" i="1" l="1"/>
  <c r="K2" i="1"/>
  <c r="C33" i="1"/>
  <c r="C34" i="1"/>
  <c r="G44" i="1" l="1"/>
  <c r="G46" i="1" s="1"/>
  <c r="G48" i="1" l="1"/>
  <c r="C46" i="1" s="1"/>
  <c r="K3" i="1" s="1"/>
  <c r="C49" i="1" l="1"/>
  <c r="C47" i="1"/>
  <c r="C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Brabec Martin</author>
  </authors>
  <commentList>
    <comment ref="B4" authorId="0" shapeId="0" xr:uid="{BF672C5A-3601-4B9B-82E0-EF55D1D9C7F0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Celková roční potřeba elektřiny pro celý dům (vytápění, běh domácnosti, ..)</t>
        </r>
      </text>
    </comment>
    <comment ref="B5" authorId="0" shapeId="0" xr:uid="{8D171E5C-EBAE-42BD-AA3E-F9FD43406DDE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V případě vlastnictví elektromobilu lze uvést i odhadovanou roční potřebu elektřiny pro auto.</t>
        </r>
      </text>
    </comment>
    <comment ref="B6" authorId="0" shapeId="0" xr:uid="{FC043BC6-73A0-4C0F-835A-4523575A4620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Potřeba celekm je celková potřeba elektrické energie pro domácnost.</t>
        </r>
      </text>
    </comment>
    <comment ref="B9" authorId="0" shapeId="0" xr:uid="{EECE347A-2FE0-41DB-9F88-E60E2BDBCE9F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Očekávaný obejm vyrobené elektřiny za 1 rok.</t>
        </r>
      </text>
    </comment>
    <comment ref="B10" authorId="0" shapeId="0" xr:uid="{A3FE7E9F-E8B7-4422-B841-37850211DFD8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Očekávané množství elktrické energie, které bude spotřebováno rovnou (vytápění, ohřev vody, nabíjení barterií, nabíjení elektroauta, ..) během 1 celého roku. 
Je potřeba počítat s tím, že v zimě bude výroba minimální a v létě naopak může být přetoků hodně.</t>
        </r>
      </text>
    </comment>
    <comment ref="B11" authorId="0" shapeId="0" xr:uid="{1B3A619A-0B52-4DF6-8335-0AFFA92E0970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Obejm vyrobené energie, který nebude spotřebován doma a bude vrácen zpět do sítě.</t>
        </r>
      </text>
    </comment>
    <comment ref="B14" authorId="0" shapeId="0" xr:uid="{5AD23B48-F5CA-45ED-9C5A-89B9B6026399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Spotřeba celkem vyjadřuje množství energie, ktré bude během roku potřeba dokoupit u ČEZu (tzn. to co nebude pokryto výrobou FVE).</t>
        </r>
      </text>
    </comment>
    <comment ref="F26" authorId="0" shapeId="0" xr:uid="{F1AAE721-20A4-4937-AB00-3288C8E46257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V tarifu "Elektrřina pro soláry" není možné vrátit více elektřiny, než bylo spotřebováno.</t>
        </r>
      </text>
    </comment>
    <comment ref="F33" authorId="0" shapeId="0" xr:uid="{65A144B2-D697-43A7-B3C6-4B643D64B5F2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O tuto částku (obchodní cena za objem vrácené elektřiny) bude sníženo konečné vyúčtování.</t>
        </r>
      </text>
    </comment>
    <comment ref="F41" authorId="0" shapeId="0" xr:uid="{F4E0B200-7AB0-476D-94BC-AB1F4F238CE8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V tarifu "Elektrřina pro soláry" není možné vrátit více elektřiny, než bylo spotřebováno.</t>
        </r>
      </text>
    </comment>
    <comment ref="F48" authorId="0" shapeId="0" xr:uid="{E0B0CA2F-698A-434C-86DC-34D78655CC39}">
      <text>
        <r>
          <rPr>
            <b/>
            <sz val="9"/>
            <color indexed="81"/>
            <rFont val="Tahoma"/>
            <family val="2"/>
            <charset val="238"/>
          </rPr>
          <t>Brabec Martin:</t>
        </r>
        <r>
          <rPr>
            <sz val="9"/>
            <color indexed="81"/>
            <rFont val="Tahoma"/>
            <family val="2"/>
            <charset val="238"/>
          </rPr>
          <t xml:space="preserve">
O tuto částku (obchodní cena za objem vrácené elektřiny) bude sníženo konečné vyúčtování.</t>
        </r>
      </text>
    </comment>
  </commentList>
</comments>
</file>

<file path=xl/sharedStrings.xml><?xml version="1.0" encoding="utf-8"?>
<sst xmlns="http://schemas.openxmlformats.org/spreadsheetml/2006/main" count="128" uniqueCount="49">
  <si>
    <t>Aktuální potřeba domu</t>
  </si>
  <si>
    <t>MWh</t>
  </si>
  <si>
    <t>Potřeba auta</t>
  </si>
  <si>
    <t>Potřeba celkem</t>
  </si>
  <si>
    <t>FVE</t>
  </si>
  <si>
    <t>Plánovaná výroba FVE za rok</t>
  </si>
  <si>
    <t>Z toho okamžitá spotřeba</t>
  </si>
  <si>
    <t>Do sítě</t>
  </si>
  <si>
    <t>Spotřeba ze sítě (ČEZ)</t>
  </si>
  <si>
    <t>Spotřeba celkem</t>
  </si>
  <si>
    <t>Spotřeba VT</t>
  </si>
  <si>
    <t>Spotřeba NT</t>
  </si>
  <si>
    <t>Elektřina pro soláry na 1 rok</t>
  </si>
  <si>
    <t>Nakoupená elektřina</t>
  </si>
  <si>
    <t>Prodaná elektrřina</t>
  </si>
  <si>
    <t>Ceny jednotlivých složek</t>
  </si>
  <si>
    <t>Cena VT</t>
  </si>
  <si>
    <t>Vráceno do sítě</t>
  </si>
  <si>
    <t>Cena za dodávku</t>
  </si>
  <si>
    <t>Obchodní cena</t>
  </si>
  <si>
    <t>Vč. daně a distribuce</t>
  </si>
  <si>
    <t>Cena NT</t>
  </si>
  <si>
    <t>Vráceno do sítě VT</t>
  </si>
  <si>
    <t>VT</t>
  </si>
  <si>
    <t>POZE podle spotřeby</t>
  </si>
  <si>
    <t>Vráceno do sítě NT</t>
  </si>
  <si>
    <t>NT</t>
  </si>
  <si>
    <t>Fixní náklady</t>
  </si>
  <si>
    <t>Max. vrácené el. do sítě VT</t>
  </si>
  <si>
    <t>Celkem</t>
  </si>
  <si>
    <t>Max. vrácené el. do sítě NT</t>
  </si>
  <si>
    <t>Cena za jistič 3*32</t>
  </si>
  <si>
    <t>Uznatelná sleva VT</t>
  </si>
  <si>
    <t>Stálá platba</t>
  </si>
  <si>
    <t>Uznatelná selva NT</t>
  </si>
  <si>
    <t>OTE</t>
  </si>
  <si>
    <t>Sleva VT</t>
  </si>
  <si>
    <t>Celkem po slevě</t>
  </si>
  <si>
    <t>Selva NT</t>
  </si>
  <si>
    <t>Sleva celkem</t>
  </si>
  <si>
    <t>Elektřina na 1 rok ONLINE</t>
  </si>
  <si>
    <t>Cena jednotlivých složek</t>
  </si>
  <si>
    <t>Elektřina bez závazku</t>
  </si>
  <si>
    <t>POZE poplatek</t>
  </si>
  <si>
    <t>Výsledná ČEZ cena za MWh</t>
  </si>
  <si>
    <t>Výsledná ČEZ cena za KWh</t>
  </si>
  <si>
    <t>Moje cena za KWh (zaplaceno/potřeba celkem)</t>
  </si>
  <si>
    <t>Potřeba elektřiny</t>
  </si>
  <si>
    <t>Elektřina pro soláry na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</si>
</sst>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8" xfId="0" applyNumberFormat="1" applyBorder="1"/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horizontal="left"/>
    </xf>
    <xf numFmtId="164" fontId="0" fillId="0" borderId="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0" fontId="0" fillId="0" borderId="19" xfId="0" applyBorder="1"/>
    <xf numFmtId="0" fontId="0" fillId="0" borderId="20" xfId="0" applyBorder="1"/>
    <xf numFmtId="164" fontId="0" fillId="0" borderId="9" xfId="0" applyNumberFormat="1" applyBorder="1"/>
    <xf numFmtId="44" fontId="0" fillId="0" borderId="6" xfId="0" applyNumberFormat="1" applyBorder="1"/>
    <xf numFmtId="164" fontId="0" fillId="0" borderId="0" xfId="0" applyNumberFormat="1"/>
    <xf numFmtId="0" fontId="1" fillId="0" borderId="5" xfId="0" applyFont="1" applyBorder="1"/>
    <xf numFmtId="164" fontId="1" fillId="0" borderId="1" xfId="0" applyNumberFormat="1" applyFont="1" applyBorder="1"/>
    <xf numFmtId="44" fontId="0" fillId="0" borderId="8" xfId="0" applyNumberFormat="1" applyBorder="1"/>
    <xf numFmtId="0" fontId="0" fillId="0" borderId="13" xfId="0" applyBorder="1"/>
    <xf numFmtId="164" fontId="0" fillId="0" borderId="12" xfId="0" applyNumberFormat="1" applyBorder="1"/>
    <xf numFmtId="44" fontId="0" fillId="0" borderId="0" xfId="0" applyNumberFormat="1"/>
    <xf numFmtId="164" fontId="1" fillId="0" borderId="9" xfId="0" applyNumberFormat="1" applyFont="1" applyBorder="1"/>
    <xf numFmtId="164" fontId="1" fillId="0" borderId="0" xfId="0" applyNumberFormat="1" applyFont="1"/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2" borderId="17" xfId="0" applyNumberFormat="1" applyFill="1" applyBorder="1"/>
    <xf numFmtId="164" fontId="0" fillId="2" borderId="1" xfId="0" applyNumberFormat="1" applyFill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164" fontId="0" fillId="2" borderId="16" xfId="0" applyNumberFormat="1" applyFill="1" applyBorder="1"/>
    <xf numFmtId="0" fontId="1" fillId="0" borderId="8" xfId="0" applyFont="1" applyBorder="1"/>
    <xf numFmtId="9" fontId="0" fillId="3" borderId="6" xfId="0" applyNumberFormat="1" applyFill="1" applyBorder="1"/>
    <xf numFmtId="0" fontId="0" fillId="3" borderId="3" xfId="0" applyFill="1" applyBorder="1"/>
    <xf numFmtId="0" fontId="0" fillId="3" borderId="6" xfId="0" applyFill="1" applyBorder="1"/>
    <xf numFmtId="164" fontId="0" fillId="4" borderId="12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" fontId="0" fillId="0" borderId="0" xfId="0" applyNumberFormat="1"/>
    <xf numFmtId="0" fontId="2" fillId="0" borderId="0" xfId="0" applyFont="1" applyBorder="1"/>
    <xf numFmtId="164" fontId="6" fillId="0" borderId="4" xfId="0" applyNumberFormat="1" applyFont="1" applyBorder="1"/>
    <xf numFmtId="164" fontId="6" fillId="0" borderId="1" xfId="0" applyNumberFormat="1" applyFont="1" applyBorder="1"/>
    <xf numFmtId="164" fontId="6" fillId="0" borderId="9" xfId="0" applyNumberFormat="1" applyFont="1" applyBorder="1"/>
  </cellXfs>
  <cellStyles count="1">
    <cellStyle name="Normální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Elektřina!$J$2:$J$5</c:f>
              <c:strCache>
                <c:ptCount val="4"/>
                <c:pt idx="0">
                  <c:v>Elektřina pro soláry na 1 rok</c:v>
                </c:pt>
                <c:pt idx="1">
                  <c:v>Elektřina pro soláry na 3 roky</c:v>
                </c:pt>
                <c:pt idx="2">
                  <c:v>Elektřina na 1 rok ONLINE</c:v>
                </c:pt>
                <c:pt idx="3">
                  <c:v>Elektřina bez závazku</c:v>
                </c:pt>
              </c:strCache>
            </c:strRef>
          </c:cat>
          <c:val>
            <c:numRef>
              <c:f>Elektřina!$K$2:$K$5</c:f>
              <c:numCache>
                <c:formatCode>#\ ##0.00\ "Kč"</c:formatCode>
                <c:ptCount val="4"/>
                <c:pt idx="0">
                  <c:v>41831.549999999988</c:v>
                </c:pt>
                <c:pt idx="1">
                  <c:v>40742.549999999988</c:v>
                </c:pt>
                <c:pt idx="2">
                  <c:v>59195</c:v>
                </c:pt>
                <c:pt idx="3">
                  <c:v>62103.839999999997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7-446D-9064-7F4E36D2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2256176"/>
        <c:axId val="1344116159"/>
      </c:barChart>
      <c:catAx>
        <c:axId val="124225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44116159"/>
        <c:crosses val="autoZero"/>
        <c:auto val="1"/>
        <c:lblAlgn val="ctr"/>
        <c:lblOffset val="100"/>
        <c:noMultiLvlLbl val="0"/>
      </c:catAx>
      <c:valAx>
        <c:axId val="134411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225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6</xdr:row>
      <xdr:rowOff>4761</xdr:rowOff>
    </xdr:from>
    <xdr:to>
      <xdr:col>10</xdr:col>
      <xdr:colOff>1095374</xdr:colOff>
      <xdr:row>18</xdr:row>
      <xdr:rowOff>161924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7A7A106-A4C1-9C60-FFA8-961F09577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BC25-A3CC-487D-9785-AE082349A295}">
  <dimension ref="B1:L69"/>
  <sheetViews>
    <sheetView tabSelected="1" workbookViewId="0">
      <selection activeCell="L12" sqref="L12"/>
    </sheetView>
  </sheetViews>
  <sheetFormatPr defaultRowHeight="15" x14ac:dyDescent="0.25"/>
  <cols>
    <col min="2" max="2" width="42.5703125" customWidth="1"/>
    <col min="3" max="3" width="16.42578125" customWidth="1"/>
    <col min="6" max="6" width="24.28515625" customWidth="1"/>
    <col min="7" max="7" width="16.5703125" customWidth="1"/>
    <col min="8" max="8" width="12" customWidth="1"/>
    <col min="9" max="9" width="8.85546875" customWidth="1"/>
    <col min="10" max="10" width="27.42578125" customWidth="1"/>
    <col min="11" max="11" width="16.5703125" customWidth="1"/>
    <col min="12" max="12" width="21" customWidth="1"/>
  </cols>
  <sheetData>
    <row r="1" spans="2:11" ht="15.75" thickBot="1" x14ac:dyDescent="0.3"/>
    <row r="2" spans="2:11" ht="16.5" thickBot="1" x14ac:dyDescent="0.3">
      <c r="J2" s="2" t="str">
        <f>B21</f>
        <v>Elektřina pro soláry na 1 rok</v>
      </c>
      <c r="K2" s="64">
        <f>C31</f>
        <v>41831.549999999988</v>
      </c>
    </row>
    <row r="3" spans="2:11" ht="16.5" thickBot="1" x14ac:dyDescent="0.3">
      <c r="B3" s="57" t="s">
        <v>47</v>
      </c>
      <c r="C3" s="58"/>
      <c r="D3" s="59"/>
      <c r="J3" s="5" t="str">
        <f>B36</f>
        <v>Elektřina pro soláry na 3 roky</v>
      </c>
      <c r="K3" s="65">
        <f>C46</f>
        <v>40742.549999999988</v>
      </c>
    </row>
    <row r="4" spans="2:11" ht="15.75" x14ac:dyDescent="0.25">
      <c r="B4" s="2" t="s">
        <v>0</v>
      </c>
      <c r="C4" s="54">
        <v>8</v>
      </c>
      <c r="D4" s="4" t="s">
        <v>1</v>
      </c>
      <c r="J4" s="5" t="str">
        <f>B51</f>
        <v>Elektřina na 1 rok ONLINE</v>
      </c>
      <c r="K4" s="65">
        <f>C58</f>
        <v>59195</v>
      </c>
    </row>
    <row r="5" spans="2:11" ht="16.5" thickBot="1" x14ac:dyDescent="0.3">
      <c r="B5" s="5" t="s">
        <v>2</v>
      </c>
      <c r="C5" s="55">
        <v>5</v>
      </c>
      <c r="D5" s="7" t="s">
        <v>1</v>
      </c>
      <c r="J5" s="8" t="str">
        <f>B61</f>
        <v>Elektřina bez závazku</v>
      </c>
      <c r="K5" s="66">
        <f>C68</f>
        <v>62103.839999999997</v>
      </c>
    </row>
    <row r="6" spans="2:11" ht="15.75" thickBot="1" x14ac:dyDescent="0.3">
      <c r="B6" s="8" t="s">
        <v>3</v>
      </c>
      <c r="C6" s="52">
        <f>SUM(C4:C5)</f>
        <v>13</v>
      </c>
      <c r="D6" s="10" t="s">
        <v>1</v>
      </c>
    </row>
    <row r="7" spans="2:11" ht="15.75" thickBot="1" x14ac:dyDescent="0.3"/>
    <row r="8" spans="2:11" ht="15.75" thickBot="1" x14ac:dyDescent="0.3">
      <c r="B8" s="41" t="s">
        <v>4</v>
      </c>
      <c r="C8" s="46"/>
      <c r="D8" s="46"/>
      <c r="E8" s="42"/>
    </row>
    <row r="9" spans="2:11" x14ac:dyDescent="0.25">
      <c r="B9" s="2" t="s">
        <v>5</v>
      </c>
      <c r="D9" s="54">
        <v>10</v>
      </c>
      <c r="E9" s="3" t="s">
        <v>1</v>
      </c>
    </row>
    <row r="10" spans="2:11" x14ac:dyDescent="0.25">
      <c r="B10" s="5" t="s">
        <v>6</v>
      </c>
      <c r="C10" s="53">
        <v>0.5</v>
      </c>
      <c r="D10" s="6">
        <f>D9*C10</f>
        <v>5</v>
      </c>
      <c r="E10" s="7" t="s">
        <v>1</v>
      </c>
    </row>
    <row r="11" spans="2:11" ht="15.75" thickBot="1" x14ac:dyDescent="0.3">
      <c r="B11" s="8" t="s">
        <v>7</v>
      </c>
      <c r="C11" s="11">
        <f>1-C10</f>
        <v>0.5</v>
      </c>
      <c r="D11" s="9">
        <f>D9*C11</f>
        <v>5</v>
      </c>
      <c r="E11" s="10" t="s">
        <v>1</v>
      </c>
    </row>
    <row r="12" spans="2:11" ht="15.75" thickBot="1" x14ac:dyDescent="0.3"/>
    <row r="13" spans="2:11" ht="15.75" thickBot="1" x14ac:dyDescent="0.3">
      <c r="B13" s="41" t="s">
        <v>8</v>
      </c>
      <c r="C13" s="46"/>
      <c r="D13" s="42"/>
    </row>
    <row r="14" spans="2:11" x14ac:dyDescent="0.25">
      <c r="B14" s="2" t="s">
        <v>9</v>
      </c>
      <c r="C14" s="3">
        <f>IF(C6-D10&lt;0,0,C6-D10)</f>
        <v>8</v>
      </c>
      <c r="D14" s="4" t="s">
        <v>1</v>
      </c>
    </row>
    <row r="15" spans="2:11" ht="18.75" x14ac:dyDescent="0.3">
      <c r="B15" s="5" t="s">
        <v>10</v>
      </c>
      <c r="C15" s="12">
        <f>C14/2</f>
        <v>4</v>
      </c>
      <c r="D15" s="13" t="s">
        <v>1</v>
      </c>
    </row>
    <row r="16" spans="2:11" ht="19.5" thickBot="1" x14ac:dyDescent="0.35">
      <c r="B16" s="8" t="s">
        <v>11</v>
      </c>
      <c r="C16" s="14">
        <f>C14/2</f>
        <v>4</v>
      </c>
      <c r="D16" s="15" t="s">
        <v>1</v>
      </c>
    </row>
    <row r="17" spans="2:12" ht="19.5" thickBot="1" x14ac:dyDescent="0.35">
      <c r="B17" s="22" t="s">
        <v>43</v>
      </c>
      <c r="C17" s="56">
        <v>598.95000000000005</v>
      </c>
      <c r="D17" s="63"/>
    </row>
    <row r="21" spans="2:12" ht="19.5" thickBot="1" x14ac:dyDescent="0.35">
      <c r="B21" s="40" t="s">
        <v>12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15.75" thickBot="1" x14ac:dyDescent="0.3">
      <c r="B22" s="43" t="s">
        <v>13</v>
      </c>
      <c r="C22" s="45"/>
      <c r="F22" s="41" t="s">
        <v>14</v>
      </c>
      <c r="G22" s="46"/>
      <c r="H22" s="42"/>
      <c r="J22" s="41" t="s">
        <v>15</v>
      </c>
      <c r="K22" s="46"/>
      <c r="L22" s="42"/>
    </row>
    <row r="23" spans="2:12" ht="15.75" thickBot="1" x14ac:dyDescent="0.3">
      <c r="B23" s="2" t="s">
        <v>16</v>
      </c>
      <c r="C23" s="17">
        <f>$C$15*$L$24</f>
        <v>23845.439999999999</v>
      </c>
      <c r="F23" s="18" t="s">
        <v>17</v>
      </c>
      <c r="G23" s="19">
        <f>D11</f>
        <v>5</v>
      </c>
      <c r="H23" s="20" t="s">
        <v>1</v>
      </c>
      <c r="J23" s="21" t="s">
        <v>18</v>
      </c>
      <c r="K23" s="22" t="s">
        <v>19</v>
      </c>
      <c r="L23" s="23" t="s">
        <v>20</v>
      </c>
    </row>
    <row r="24" spans="2:12" x14ac:dyDescent="0.25">
      <c r="B24" s="5" t="s">
        <v>21</v>
      </c>
      <c r="C24" s="7">
        <f>$C$16*$L$25</f>
        <v>22826.44</v>
      </c>
      <c r="F24" s="5" t="s">
        <v>22</v>
      </c>
      <c r="G24" s="6">
        <f>G23/2</f>
        <v>2.5</v>
      </c>
      <c r="H24" s="7" t="s">
        <v>1</v>
      </c>
      <c r="J24" s="18" t="s">
        <v>23</v>
      </c>
      <c r="K24" s="51">
        <v>4884.7700000000004</v>
      </c>
      <c r="L24" s="47">
        <v>5961.36</v>
      </c>
    </row>
    <row r="25" spans="2:12" x14ac:dyDescent="0.25">
      <c r="B25" s="5" t="s">
        <v>24</v>
      </c>
      <c r="C25" s="1">
        <f>C17*12</f>
        <v>7187.4000000000005</v>
      </c>
      <c r="F25" s="5" t="s">
        <v>25</v>
      </c>
      <c r="G25" s="6">
        <f>G23/2</f>
        <v>2.5</v>
      </c>
      <c r="H25" s="7" t="s">
        <v>1</v>
      </c>
      <c r="J25" s="5" t="s">
        <v>26</v>
      </c>
      <c r="K25" s="49">
        <v>4884.7700000000004</v>
      </c>
      <c r="L25" s="48">
        <v>5706.61</v>
      </c>
    </row>
    <row r="26" spans="2:12" x14ac:dyDescent="0.25">
      <c r="B26" s="5" t="s">
        <v>27</v>
      </c>
      <c r="C26" s="1">
        <f>12*(SUM(K27:K29))</f>
        <v>12396.119999999999</v>
      </c>
      <c r="F26" s="27" t="s">
        <v>28</v>
      </c>
      <c r="G26">
        <f>C15</f>
        <v>4</v>
      </c>
      <c r="H26" s="28" t="s">
        <v>1</v>
      </c>
      <c r="J26" s="5"/>
      <c r="K26" s="26"/>
      <c r="L26" s="1"/>
    </row>
    <row r="27" spans="2:12" x14ac:dyDescent="0.25">
      <c r="B27" s="5" t="s">
        <v>29</v>
      </c>
      <c r="C27" s="1">
        <f>SUM(C22:C26)</f>
        <v>66255.399999999994</v>
      </c>
      <c r="F27" s="27" t="s">
        <v>30</v>
      </c>
      <c r="G27">
        <f>C16</f>
        <v>4</v>
      </c>
      <c r="H27" s="28" t="s">
        <v>1</v>
      </c>
      <c r="J27" s="5" t="s">
        <v>31</v>
      </c>
      <c r="K27" s="49">
        <v>605</v>
      </c>
      <c r="L27" s="1"/>
    </row>
    <row r="28" spans="2:12" x14ac:dyDescent="0.25">
      <c r="B28" s="5"/>
      <c r="C28" s="1"/>
      <c r="F28" s="27" t="s">
        <v>32</v>
      </c>
      <c r="G28">
        <f>MIN(G26,G24)</f>
        <v>2.5</v>
      </c>
      <c r="H28" s="28" t="s">
        <v>1</v>
      </c>
      <c r="J28" s="5" t="s">
        <v>33</v>
      </c>
      <c r="K28" s="49">
        <v>423</v>
      </c>
      <c r="L28" s="1"/>
    </row>
    <row r="29" spans="2:12" ht="15.75" thickBot="1" x14ac:dyDescent="0.3">
      <c r="B29" s="5"/>
      <c r="C29" s="7"/>
      <c r="F29" s="27" t="s">
        <v>34</v>
      </c>
      <c r="G29">
        <f>MIN(G27,G28)</f>
        <v>2.5</v>
      </c>
      <c r="H29" s="28" t="s">
        <v>1</v>
      </c>
      <c r="J29" s="8" t="s">
        <v>35</v>
      </c>
      <c r="K29" s="50">
        <v>5.01</v>
      </c>
      <c r="L29" s="29"/>
    </row>
    <row r="30" spans="2:12" x14ac:dyDescent="0.25">
      <c r="B30" s="5"/>
      <c r="C30" s="7"/>
      <c r="F30" s="5" t="s">
        <v>36</v>
      </c>
      <c r="G30" s="30">
        <f>G28*K24</f>
        <v>12211.925000000001</v>
      </c>
      <c r="H30" s="7"/>
      <c r="K30" s="31"/>
      <c r="L30" s="31"/>
    </row>
    <row r="31" spans="2:12" x14ac:dyDescent="0.25">
      <c r="B31" s="32" t="s">
        <v>37</v>
      </c>
      <c r="C31" s="33">
        <f>C27-G33</f>
        <v>41831.549999999988</v>
      </c>
      <c r="F31" s="5" t="s">
        <v>38</v>
      </c>
      <c r="G31" s="30">
        <f>G29*K25</f>
        <v>12211.925000000001</v>
      </c>
      <c r="H31" s="7"/>
    </row>
    <row r="32" spans="2:12" x14ac:dyDescent="0.25">
      <c r="B32" s="5" t="s">
        <v>44</v>
      </c>
      <c r="C32" s="1">
        <f>C31/(C15+C16)</f>
        <v>5228.9437499999985</v>
      </c>
      <c r="F32" s="5"/>
      <c r="G32" s="30"/>
      <c r="H32" s="7"/>
    </row>
    <row r="33" spans="2:12" ht="15.75" thickBot="1" x14ac:dyDescent="0.3">
      <c r="B33" s="8" t="s">
        <v>45</v>
      </c>
      <c r="C33" s="29">
        <f>C32/1000</f>
        <v>5.2289437499999982</v>
      </c>
      <c r="F33" s="8" t="s">
        <v>39</v>
      </c>
      <c r="G33" s="34">
        <f>SUM(G30:G31)</f>
        <v>24423.850000000002</v>
      </c>
      <c r="H33" s="10"/>
    </row>
    <row r="34" spans="2:12" ht="15.75" thickBot="1" x14ac:dyDescent="0.3">
      <c r="B34" s="35" t="s">
        <v>46</v>
      </c>
      <c r="C34" s="36">
        <f>(C31/C6)/1000</f>
        <v>3.2178115384615378</v>
      </c>
      <c r="G34" s="37"/>
    </row>
    <row r="36" spans="2:12" ht="19.5" thickBot="1" x14ac:dyDescent="0.35">
      <c r="B36" s="40" t="s">
        <v>48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2:12" ht="15.75" thickBot="1" x14ac:dyDescent="0.3">
      <c r="B37" s="43" t="s">
        <v>13</v>
      </c>
      <c r="C37" s="45"/>
      <c r="F37" s="41" t="s">
        <v>14</v>
      </c>
      <c r="G37" s="46"/>
      <c r="H37" s="42"/>
      <c r="J37" s="41" t="s">
        <v>15</v>
      </c>
      <c r="K37" s="46"/>
      <c r="L37" s="42"/>
    </row>
    <row r="38" spans="2:12" ht="15.75" thickBot="1" x14ac:dyDescent="0.3">
      <c r="B38" s="2" t="s">
        <v>16</v>
      </c>
      <c r="C38" s="17">
        <f>$C$15*$L$39</f>
        <v>22393.439999999999</v>
      </c>
      <c r="F38" s="18" t="s">
        <v>17</v>
      </c>
      <c r="G38" s="19">
        <f>D11</f>
        <v>5</v>
      </c>
      <c r="H38" s="20" t="s">
        <v>1</v>
      </c>
      <c r="J38" s="21" t="s">
        <v>18</v>
      </c>
      <c r="K38" s="22" t="s">
        <v>19</v>
      </c>
      <c r="L38" s="23" t="s">
        <v>20</v>
      </c>
    </row>
    <row r="39" spans="2:12" x14ac:dyDescent="0.25">
      <c r="B39" s="5" t="s">
        <v>21</v>
      </c>
      <c r="C39" s="1">
        <f>$C$16*$L$40</f>
        <v>21374.44</v>
      </c>
      <c r="F39" s="5" t="s">
        <v>22</v>
      </c>
      <c r="G39" s="6">
        <f>G38/2</f>
        <v>2.5</v>
      </c>
      <c r="H39" s="7" t="s">
        <v>1</v>
      </c>
      <c r="J39" s="18" t="s">
        <v>23</v>
      </c>
      <c r="K39" s="51">
        <v>4521.7700000000004</v>
      </c>
      <c r="L39" s="47">
        <v>5598.36</v>
      </c>
    </row>
    <row r="40" spans="2:12" ht="15.75" customHeight="1" x14ac:dyDescent="0.25">
      <c r="B40" s="5" t="s">
        <v>24</v>
      </c>
      <c r="C40" s="1">
        <f>C17*12</f>
        <v>7187.4000000000005</v>
      </c>
      <c r="F40" s="5" t="s">
        <v>25</v>
      </c>
      <c r="G40" s="6">
        <f>G38/2</f>
        <v>2.5</v>
      </c>
      <c r="H40" s="7" t="s">
        <v>1</v>
      </c>
      <c r="J40" s="5" t="s">
        <v>26</v>
      </c>
      <c r="K40" s="49">
        <v>4521.7700000000004</v>
      </c>
      <c r="L40" s="48">
        <v>5343.61</v>
      </c>
    </row>
    <row r="41" spans="2:12" ht="15.75" customHeight="1" x14ac:dyDescent="0.25">
      <c r="B41" s="5" t="s">
        <v>27</v>
      </c>
      <c r="C41" s="1">
        <f>12*(SUM(K42:K44))</f>
        <v>12396.119999999999</v>
      </c>
      <c r="F41" s="27" t="s">
        <v>28</v>
      </c>
      <c r="G41" s="62">
        <f>C15</f>
        <v>4</v>
      </c>
      <c r="H41" s="28" t="s">
        <v>1</v>
      </c>
      <c r="J41" s="5"/>
      <c r="K41" s="26"/>
      <c r="L41" s="1"/>
    </row>
    <row r="42" spans="2:12" ht="15.75" customHeight="1" x14ac:dyDescent="0.25">
      <c r="B42" s="5" t="s">
        <v>29</v>
      </c>
      <c r="C42" s="1">
        <f>SUM(C37:C41)</f>
        <v>63351.399999999994</v>
      </c>
      <c r="F42" s="27" t="s">
        <v>30</v>
      </c>
      <c r="G42">
        <f>C16</f>
        <v>4</v>
      </c>
      <c r="H42" s="28" t="s">
        <v>1</v>
      </c>
      <c r="J42" s="5" t="s">
        <v>31</v>
      </c>
      <c r="K42" s="49">
        <v>605</v>
      </c>
      <c r="L42" s="1"/>
    </row>
    <row r="43" spans="2:12" ht="15.75" customHeight="1" x14ac:dyDescent="0.25">
      <c r="B43" s="5"/>
      <c r="C43" s="1"/>
      <c r="F43" s="27" t="s">
        <v>32</v>
      </c>
      <c r="G43" s="62">
        <f>MIN(G41,G39)</f>
        <v>2.5</v>
      </c>
      <c r="H43" s="28" t="s">
        <v>1</v>
      </c>
      <c r="J43" s="5" t="s">
        <v>33</v>
      </c>
      <c r="K43" s="49">
        <v>423</v>
      </c>
      <c r="L43" s="1"/>
    </row>
    <row r="44" spans="2:12" ht="15.75" customHeight="1" thickBot="1" x14ac:dyDescent="0.3">
      <c r="B44" s="5"/>
      <c r="C44" s="7"/>
      <c r="F44" s="27" t="s">
        <v>34</v>
      </c>
      <c r="G44">
        <f>MIN(G42,G43)</f>
        <v>2.5</v>
      </c>
      <c r="H44" s="28" t="s">
        <v>1</v>
      </c>
      <c r="J44" s="8" t="s">
        <v>35</v>
      </c>
      <c r="K44" s="50">
        <v>5.01</v>
      </c>
      <c r="L44" s="29"/>
    </row>
    <row r="45" spans="2:12" ht="15.75" customHeight="1" x14ac:dyDescent="0.25">
      <c r="B45" s="5"/>
      <c r="C45" s="7"/>
      <c r="F45" s="5" t="s">
        <v>36</v>
      </c>
      <c r="G45" s="30">
        <f>G43*K39</f>
        <v>11304.425000000001</v>
      </c>
      <c r="H45" s="7"/>
      <c r="K45" s="31"/>
      <c r="L45" s="31"/>
    </row>
    <row r="46" spans="2:12" ht="15.75" customHeight="1" x14ac:dyDescent="0.25">
      <c r="B46" s="32" t="s">
        <v>37</v>
      </c>
      <c r="C46" s="33">
        <f>C42-G48</f>
        <v>40742.549999999988</v>
      </c>
      <c r="F46" s="5" t="s">
        <v>38</v>
      </c>
      <c r="G46" s="30">
        <f>G44*K40</f>
        <v>11304.425000000001</v>
      </c>
      <c r="H46" s="7"/>
    </row>
    <row r="47" spans="2:12" x14ac:dyDescent="0.25">
      <c r="B47" s="5" t="s">
        <v>44</v>
      </c>
      <c r="C47" s="1">
        <f>C46/(C15+C16)</f>
        <v>5092.8187499999985</v>
      </c>
      <c r="F47" s="5"/>
      <c r="G47" s="30"/>
      <c r="H47" s="7"/>
    </row>
    <row r="48" spans="2:12" ht="15.75" thickBot="1" x14ac:dyDescent="0.3">
      <c r="B48" s="8" t="s">
        <v>45</v>
      </c>
      <c r="C48" s="29">
        <f>C47/1000</f>
        <v>5.0928187499999984</v>
      </c>
      <c r="F48" s="8" t="s">
        <v>39</v>
      </c>
      <c r="G48" s="34">
        <f>SUM(G45:G46)</f>
        <v>22608.850000000002</v>
      </c>
      <c r="H48" s="10"/>
    </row>
    <row r="49" spans="2:12" ht="15.75" thickBot="1" x14ac:dyDescent="0.3">
      <c r="B49" s="35" t="s">
        <v>46</v>
      </c>
      <c r="C49" s="36">
        <f>(C46/C6)/1000</f>
        <v>3.1340423076923067</v>
      </c>
      <c r="G49" s="37"/>
    </row>
    <row r="50" spans="2:12" x14ac:dyDescent="0.25">
      <c r="B50" s="60"/>
      <c r="C50" s="61"/>
      <c r="G50" s="37"/>
    </row>
    <row r="51" spans="2:12" ht="19.5" thickBot="1" x14ac:dyDescent="0.35">
      <c r="B51" s="40" t="s">
        <v>40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2:12" ht="18" customHeight="1" thickBot="1" x14ac:dyDescent="0.35">
      <c r="B52" s="43" t="s">
        <v>13</v>
      </c>
      <c r="C52" s="45"/>
      <c r="D52" s="16"/>
      <c r="E52" s="16"/>
      <c r="F52" s="16"/>
      <c r="G52" s="16"/>
      <c r="H52" s="16"/>
      <c r="I52" s="16"/>
      <c r="J52" s="43" t="s">
        <v>41</v>
      </c>
      <c r="K52" s="44"/>
      <c r="L52" s="45"/>
    </row>
    <row r="53" spans="2:12" ht="15.75" thickBot="1" x14ac:dyDescent="0.3">
      <c r="B53" s="18" t="s">
        <v>16</v>
      </c>
      <c r="C53" s="25">
        <f>C15*L54</f>
        <v>21923.96</v>
      </c>
      <c r="J53" s="21" t="s">
        <v>18</v>
      </c>
      <c r="K53" s="22"/>
      <c r="L53" s="23" t="s">
        <v>20</v>
      </c>
    </row>
    <row r="54" spans="2:12" x14ac:dyDescent="0.25">
      <c r="B54" s="5" t="s">
        <v>21</v>
      </c>
      <c r="C54" s="1">
        <f>C16*L55</f>
        <v>20904.96</v>
      </c>
      <c r="J54" s="18" t="s">
        <v>23</v>
      </c>
      <c r="K54" s="24"/>
      <c r="L54" s="47">
        <v>5480.99</v>
      </c>
    </row>
    <row r="55" spans="2:12" x14ac:dyDescent="0.25">
      <c r="B55" s="5" t="s">
        <v>24</v>
      </c>
      <c r="C55" s="1">
        <f>C17*12</f>
        <v>7187.4000000000005</v>
      </c>
      <c r="J55" s="5" t="s">
        <v>26</v>
      </c>
      <c r="K55" s="26"/>
      <c r="L55" s="48">
        <v>5226.24</v>
      </c>
    </row>
    <row r="56" spans="2:12" x14ac:dyDescent="0.25">
      <c r="B56" s="5" t="s">
        <v>27</v>
      </c>
      <c r="C56" s="1">
        <f>12*(SUM(K57:K59))</f>
        <v>9178.68</v>
      </c>
      <c r="J56" s="5"/>
      <c r="K56" s="26"/>
      <c r="L56" s="1"/>
    </row>
    <row r="57" spans="2:12" x14ac:dyDescent="0.25">
      <c r="B57" s="5"/>
      <c r="C57" s="7"/>
      <c r="J57" s="5" t="s">
        <v>31</v>
      </c>
      <c r="K57" s="49">
        <v>605</v>
      </c>
      <c r="L57" s="1"/>
    </row>
    <row r="58" spans="2:12" ht="15.75" thickBot="1" x14ac:dyDescent="0.3">
      <c r="B58" s="8" t="s">
        <v>29</v>
      </c>
      <c r="C58" s="38">
        <f>SUM(C53:C57)</f>
        <v>59195</v>
      </c>
      <c r="J58" s="5" t="s">
        <v>33</v>
      </c>
      <c r="K58" s="49">
        <v>154.88</v>
      </c>
      <c r="L58" s="1"/>
    </row>
    <row r="59" spans="2:12" ht="15.75" thickBot="1" x14ac:dyDescent="0.3">
      <c r="C59" s="39"/>
      <c r="J59" s="8" t="s">
        <v>35</v>
      </c>
      <c r="K59" s="50">
        <v>5.01</v>
      </c>
      <c r="L59" s="29"/>
    </row>
    <row r="60" spans="2:12" x14ac:dyDescent="0.25">
      <c r="C60" s="39"/>
    </row>
    <row r="61" spans="2:12" ht="19.5" thickBot="1" x14ac:dyDescent="0.35">
      <c r="B61" s="40" t="s">
        <v>42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2:12" ht="15.75" thickBot="1" x14ac:dyDescent="0.3">
      <c r="B62" s="41" t="s">
        <v>13</v>
      </c>
      <c r="C62" s="42"/>
      <c r="J62" s="43" t="s">
        <v>41</v>
      </c>
      <c r="K62" s="44"/>
      <c r="L62" s="45"/>
    </row>
    <row r="63" spans="2:12" x14ac:dyDescent="0.25">
      <c r="B63" s="2" t="s">
        <v>16</v>
      </c>
      <c r="C63" s="17">
        <f>C15*L64</f>
        <v>23472.76</v>
      </c>
      <c r="J63" s="18" t="s">
        <v>18</v>
      </c>
      <c r="K63" s="19"/>
      <c r="L63" s="20" t="s">
        <v>20</v>
      </c>
    </row>
    <row r="64" spans="2:12" x14ac:dyDescent="0.25">
      <c r="B64" s="5" t="s">
        <v>21</v>
      </c>
      <c r="C64" s="1">
        <f>C16*L65</f>
        <v>22453.759999999998</v>
      </c>
      <c r="J64" s="5" t="s">
        <v>23</v>
      </c>
      <c r="K64" s="26"/>
      <c r="L64" s="48">
        <v>5868.19</v>
      </c>
    </row>
    <row r="65" spans="2:12" x14ac:dyDescent="0.25">
      <c r="B65" s="5" t="s">
        <v>24</v>
      </c>
      <c r="C65" s="1">
        <f>12*C17</f>
        <v>7187.4000000000005</v>
      </c>
      <c r="J65" s="5" t="s">
        <v>26</v>
      </c>
      <c r="K65" s="26"/>
      <c r="L65" s="48">
        <v>5613.44</v>
      </c>
    </row>
    <row r="66" spans="2:12" x14ac:dyDescent="0.25">
      <c r="B66" s="5" t="s">
        <v>27</v>
      </c>
      <c r="C66" s="1">
        <f>12*(SUM(K67:K69))</f>
        <v>8989.92</v>
      </c>
      <c r="J66" s="5"/>
      <c r="K66" s="26"/>
      <c r="L66" s="1"/>
    </row>
    <row r="67" spans="2:12" x14ac:dyDescent="0.25">
      <c r="B67" s="5"/>
      <c r="C67" s="1"/>
      <c r="J67" s="5" t="s">
        <v>31</v>
      </c>
      <c r="K67" s="49">
        <v>605</v>
      </c>
      <c r="L67" s="1"/>
    </row>
    <row r="68" spans="2:12" ht="15.75" thickBot="1" x14ac:dyDescent="0.3">
      <c r="B68" s="8" t="s">
        <v>29</v>
      </c>
      <c r="C68" s="38">
        <f>SUM(C63:C67)</f>
        <v>62103.839999999997</v>
      </c>
      <c r="J68" s="5" t="s">
        <v>33</v>
      </c>
      <c r="K68" s="49">
        <v>139.15</v>
      </c>
      <c r="L68" s="1"/>
    </row>
    <row r="69" spans="2:12" ht="15.75" thickBot="1" x14ac:dyDescent="0.3">
      <c r="J69" s="8" t="s">
        <v>35</v>
      </c>
      <c r="K69" s="50">
        <v>5.01</v>
      </c>
      <c r="L69" s="29"/>
    </row>
  </sheetData>
  <mergeCells count="17">
    <mergeCell ref="B3:D3"/>
    <mergeCell ref="B36:L36"/>
    <mergeCell ref="B37:C37"/>
    <mergeCell ref="F37:H37"/>
    <mergeCell ref="J37:L37"/>
    <mergeCell ref="B8:E8"/>
    <mergeCell ref="B13:D13"/>
    <mergeCell ref="B21:L21"/>
    <mergeCell ref="B22:C22"/>
    <mergeCell ref="F22:H22"/>
    <mergeCell ref="J22:L22"/>
    <mergeCell ref="B61:L61"/>
    <mergeCell ref="B62:C62"/>
    <mergeCell ref="J62:L62"/>
    <mergeCell ref="B51:L51"/>
    <mergeCell ref="B52:C52"/>
    <mergeCell ref="J52:L52"/>
  </mergeCells>
  <conditionalFormatting sqref="G24">
    <cfRule type="cellIs" dxfId="11" priority="4" operator="greaterThan">
      <formula>$G$26</formula>
    </cfRule>
  </conditionalFormatting>
  <conditionalFormatting sqref="G25">
    <cfRule type="cellIs" dxfId="10" priority="3" operator="greaterThan">
      <formula>$G$27</formula>
    </cfRule>
  </conditionalFormatting>
  <conditionalFormatting sqref="G39">
    <cfRule type="cellIs" dxfId="1" priority="2" operator="greaterThan">
      <formula>$G$26</formula>
    </cfRule>
  </conditionalFormatting>
  <conditionalFormatting sqref="G40">
    <cfRule type="cellIs" dxfId="0" priority="1" operator="greaterThan">
      <formula>$G$27</formula>
    </cfRule>
  </conditionalFormatting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Elektřina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Brabec</dc:creator>
  <cp:lastModifiedBy>Martin Brabec</cp:lastModifiedBy>
  <dcterms:created xsi:type="dcterms:W3CDTF">2024-01-07T12:26:05Z</dcterms:created>
  <dcterms:modified xsi:type="dcterms:W3CDTF">2024-01-08T09:14:21Z</dcterms:modified>
</cp:coreProperties>
</file>